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19" documentId="8_{C7236214-8287-48E7-AC28-D6D4CB424591}" xr6:coauthVersionLast="45" xr6:coauthVersionMax="45" xr10:uidLastSave="{9E0EED48-350F-4E44-9C01-735A1D282CE7}"/>
  <bookViews>
    <workbookView xWindow="-108" yWindow="-108" windowWidth="23256" windowHeight="12576" xr2:uid="{00000000-000D-0000-FFFF-FFFF00000000}"/>
  </bookViews>
  <sheets>
    <sheet name="Prediktion VO2peak" sheetId="1" r:id="rId1"/>
    <sheet name="Ekvationer" sheetId="7" r:id="rId2"/>
    <sheet name="Beräkningsmatriser" sheetId="6" r:id="rId3"/>
  </sheets>
  <definedNames>
    <definedName name="Gender">Beräkningsmatriser!$A$8:$A$9</definedName>
    <definedName name="Smoking">Beräkningsmatriser!$B$8:$B$9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2" i="7" l="1"/>
  <c r="M7" i="7"/>
  <c r="B3" i="6" l="1"/>
  <c r="D7" i="7"/>
  <c r="D12" i="7"/>
  <c r="E16" i="1" l="1"/>
  <c r="E18" i="1" l="1"/>
  <c r="E17" i="1"/>
  <c r="B6" i="6"/>
  <c r="B5" i="6"/>
  <c r="B4" i="6"/>
  <c r="O4" i="6" s="1"/>
  <c r="B2" i="6"/>
  <c r="M10" i="6" l="1"/>
  <c r="M15" i="6" s="1"/>
  <c r="M4" i="6"/>
  <c r="O10" i="6"/>
  <c r="M27" i="6" s="1"/>
  <c r="N10" i="6"/>
  <c r="M21" i="6" s="1"/>
  <c r="O9" i="6"/>
  <c r="M26" i="6" s="1"/>
  <c r="N9" i="6"/>
  <c r="M20" i="6" s="1"/>
  <c r="N4" i="6"/>
  <c r="M9" i="6"/>
  <c r="M14" i="6" s="1"/>
  <c r="F4" i="6"/>
  <c r="H10" i="6"/>
  <c r="F27" i="6" s="1"/>
  <c r="F9" i="6"/>
  <c r="F14" i="6" s="1"/>
  <c r="G9" i="6"/>
  <c r="F20" i="6" s="1"/>
  <c r="F10" i="6"/>
  <c r="F15" i="6" s="1"/>
  <c r="H9" i="6"/>
  <c r="F26" i="6" s="1"/>
  <c r="G4" i="6"/>
  <c r="G10" i="6"/>
  <c r="F21" i="6" s="1"/>
  <c r="H4" i="6"/>
  <c r="N20" i="6" l="1"/>
  <c r="M22" i="6" s="1"/>
  <c r="F31" i="1" s="1"/>
  <c r="N21" i="6"/>
  <c r="N27" i="6"/>
  <c r="N26" i="6"/>
  <c r="M28" i="6" s="1"/>
  <c r="F32" i="1" s="1"/>
  <c r="F30" i="1" s="1"/>
  <c r="N15" i="6"/>
  <c r="N14" i="6"/>
  <c r="M16" i="6" s="1"/>
  <c r="F29" i="1" s="1"/>
  <c r="F28" i="1" s="1"/>
  <c r="G27" i="6"/>
  <c r="G26" i="6"/>
  <c r="F28" i="6" s="1"/>
  <c r="G15" i="6"/>
  <c r="G14" i="6"/>
  <c r="F16" i="6" s="1"/>
  <c r="F23" i="1" s="1"/>
  <c r="G21" i="6"/>
  <c r="G20" i="6"/>
  <c r="F22" i="6" s="1"/>
  <c r="F22" i="1" l="1"/>
  <c r="F25" i="1"/>
  <c r="F26" i="1"/>
  <c r="F24" i="1" s="1"/>
</calcChain>
</file>

<file path=xl/sharedStrings.xml><?xml version="1.0" encoding="utf-8"?>
<sst xmlns="http://schemas.openxmlformats.org/spreadsheetml/2006/main" count="151" uniqueCount="77">
  <si>
    <t>BMI</t>
  </si>
  <si>
    <t>Ålder</t>
  </si>
  <si>
    <t>Kön</t>
  </si>
  <si>
    <t>Längd</t>
  </si>
  <si>
    <t>Vikt</t>
  </si>
  <si>
    <t>m</t>
  </si>
  <si>
    <t>k</t>
  </si>
  <si>
    <r>
      <t>(</t>
    </r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eller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>)</t>
    </r>
  </si>
  <si>
    <t>(cm)</t>
  </si>
  <si>
    <t>(kg)</t>
  </si>
  <si>
    <t>Män</t>
  </si>
  <si>
    <t>Kvinnor</t>
  </si>
  <si>
    <t>Ja</t>
  </si>
  <si>
    <t>Nej</t>
  </si>
  <si>
    <r>
      <rPr>
        <b/>
        <sz val="11"/>
        <color theme="1"/>
        <rFont val="Calibri"/>
        <family val="2"/>
        <scheme val="minor"/>
      </rPr>
      <t>Gläser, Koch, Ittermann, Schäper, Dörr, Felix, Völzke, Ewert, Hansen (2010).</t>
    </r>
    <r>
      <rPr>
        <sz val="11"/>
        <color theme="1"/>
        <rFont val="Calibri"/>
        <family val="2"/>
        <scheme val="minor"/>
      </rPr>
      <t xml:space="preserve"> Influence of age, body size, smoking and B-blockade on key exercise parameters in an adult population.</t>
    </r>
    <r>
      <rPr>
        <i/>
        <sz val="11"/>
        <color theme="1"/>
        <rFont val="Calibri"/>
        <family val="2"/>
        <scheme val="minor"/>
      </rPr>
      <t xml:space="preserve"> Eur J Cardiovasc Prev Rehabil, 2010; 17:469-476.</t>
    </r>
  </si>
  <si>
    <t>Medel</t>
  </si>
  <si>
    <t>Nuvarande rökare</t>
  </si>
  <si>
    <t>(ja / nej)</t>
  </si>
  <si>
    <t>nej</t>
  </si>
  <si>
    <t>Rökare:</t>
  </si>
  <si>
    <t>Rökare</t>
  </si>
  <si>
    <t>Oavsett rökning</t>
  </si>
  <si>
    <t>10th lower</t>
  </si>
  <si>
    <t>5th lower</t>
  </si>
  <si>
    <t>Percentiler</t>
  </si>
  <si>
    <t>ja</t>
  </si>
  <si>
    <t>Rökning</t>
  </si>
  <si>
    <t>Predicerat värde</t>
  </si>
  <si>
    <t>Beräknade variabler</t>
  </si>
  <si>
    <t>kg/m²</t>
  </si>
  <si>
    <t>m²</t>
  </si>
  <si>
    <t>Fylles i före/efter arbetsprov:</t>
  </si>
  <si>
    <t>ml/kg/min</t>
  </si>
  <si>
    <t>ml/min</t>
  </si>
  <si>
    <t>Nedre 10:e percentil:</t>
  </si>
  <si>
    <t>Nedre 5:e percentil:</t>
  </si>
  <si>
    <t>(ja/nej)</t>
  </si>
  <si>
    <t>‐ 386 ‐ 6.97*A + 9.06*H + 6.88*W</t>
  </si>
  <si>
    <t xml:space="preserve">Nedre 5:e percentil: </t>
  </si>
  <si>
    <t>349 ‐ 18.87*A + 9.97*H + 7.42*W ‐ 107.74*cs</t>
  </si>
  <si>
    <t>A (age): ålder i år; H (height): kroppslängd i cm; W (weight): kroppsvikt i kilogram; cs (current smoker): nuvarande rökare = 1, tidigare eller aldrig rökare = 0.</t>
  </si>
  <si>
    <r>
      <t>% av predicerat VO</t>
    </r>
    <r>
      <rPr>
        <b/>
        <vertAlign val="subscript"/>
        <sz val="14"/>
        <color theme="1"/>
        <rFont val="Calibri"/>
        <family val="2"/>
        <scheme val="minor"/>
      </rPr>
      <t>2peak</t>
    </r>
    <r>
      <rPr>
        <b/>
        <sz val="14"/>
        <color theme="1"/>
        <rFont val="Calibri"/>
        <family val="2"/>
        <scheme val="minor"/>
      </rPr>
      <t>:</t>
    </r>
  </si>
  <si>
    <r>
      <t>Predicerat VO</t>
    </r>
    <r>
      <rPr>
        <vertAlign val="subscript"/>
        <sz val="14"/>
        <color theme="1"/>
        <rFont val="Calibri"/>
        <family val="2"/>
        <scheme val="minor"/>
      </rPr>
      <t>2peak</t>
    </r>
    <r>
      <rPr>
        <sz val="14"/>
        <color theme="1"/>
        <rFont val="Calibri"/>
        <family val="2"/>
        <scheme val="minor"/>
      </rPr>
      <t>:</t>
    </r>
  </si>
  <si>
    <r>
      <t>Uppmätt VO</t>
    </r>
    <r>
      <rPr>
        <b/>
        <vertAlign val="subscript"/>
        <sz val="11"/>
        <color theme="1"/>
        <rFont val="Calibri"/>
        <family val="2"/>
        <scheme val="minor"/>
      </rPr>
      <t>2peak</t>
    </r>
  </si>
  <si>
    <r>
      <t>VO</t>
    </r>
    <r>
      <rPr>
        <b/>
        <vertAlign val="subscript"/>
        <sz val="11"/>
        <color theme="1"/>
        <rFont val="Calibri"/>
        <family val="2"/>
        <scheme val="minor"/>
      </rPr>
      <t>2peak</t>
    </r>
  </si>
  <si>
    <r>
      <t>Referensekvation för VO</t>
    </r>
    <r>
      <rPr>
        <vertAlign val="subscript"/>
        <sz val="12"/>
        <color theme="1"/>
        <rFont val="Calibri"/>
        <family val="2"/>
        <scheme val="minor"/>
      </rPr>
      <t>2peak</t>
    </r>
    <r>
      <rPr>
        <sz val="12"/>
        <color theme="1"/>
        <rFont val="Calibri"/>
        <family val="2"/>
        <scheme val="minor"/>
      </rPr>
      <t xml:space="preserve"> och percentiler från:</t>
    </r>
  </si>
  <si>
    <r>
      <rPr>
        <b/>
        <sz val="10"/>
        <color theme="1"/>
        <rFont val="Calibri"/>
        <family val="2"/>
        <scheme val="minor"/>
      </rPr>
      <t>Gläser, Koch, Ittermann, Schäper, Dörr, Felix, Völzke, Ewert, Hansen (2010).</t>
    </r>
    <r>
      <rPr>
        <sz val="10"/>
        <color theme="1"/>
        <rFont val="Calibri"/>
        <family val="2"/>
        <scheme val="minor"/>
      </rPr>
      <t xml:space="preserve"> Influence of age, body size, smoking and B-blockade on key exercise parameters in an adult population.</t>
    </r>
    <r>
      <rPr>
        <i/>
        <sz val="10"/>
        <color theme="1"/>
        <rFont val="Calibri"/>
        <family val="2"/>
        <scheme val="minor"/>
      </rPr>
      <t xml:space="preserve"> Eur J Cardiovasc Prev Rehabil, 2010; 17:469-476.</t>
    </r>
  </si>
  <si>
    <r>
      <t>‐ 588 ‐ 11.33*A + 9.13*H + 26.88*W ‐ 0.12*W</t>
    </r>
    <r>
      <rPr>
        <vertAlign val="superscript"/>
        <sz val="11"/>
        <color theme="1"/>
        <rFont val="Calibri"/>
        <family val="2"/>
        <scheme val="minor"/>
      </rPr>
      <t>2</t>
    </r>
  </si>
  <si>
    <r>
      <t>‐ 69 + 1.48*A + 14.02*H + 7.44*W ‐ 233.72*cs ‐ 0.2256*A</t>
    </r>
    <r>
      <rPr>
        <vertAlign val="superscript"/>
        <sz val="11"/>
        <color theme="1"/>
        <rFont val="Calibri"/>
        <family val="2"/>
        <scheme val="minor"/>
      </rPr>
      <t>2</t>
    </r>
  </si>
  <si>
    <r>
      <t>Predicerat VO</t>
    </r>
    <r>
      <rPr>
        <vertAlign val="subscript"/>
        <sz val="11"/>
        <color theme="1"/>
        <rFont val="Calibri"/>
        <family val="2"/>
        <scheme val="minor"/>
      </rPr>
      <t>2peak</t>
    </r>
    <r>
      <rPr>
        <sz val="11"/>
        <color theme="1"/>
        <rFont val="Calibri"/>
        <family val="2"/>
        <scheme val="minor"/>
      </rPr>
      <t xml:space="preserve">: </t>
    </r>
  </si>
  <si>
    <r>
      <t>Predicerat VO2</t>
    </r>
    <r>
      <rPr>
        <vertAlign val="subscript"/>
        <sz val="11"/>
        <color theme="1"/>
        <rFont val="Calibri"/>
        <family val="2"/>
        <scheme val="minor"/>
      </rPr>
      <t>peak</t>
    </r>
    <r>
      <rPr>
        <sz val="11"/>
        <color theme="1"/>
        <rFont val="Calibri"/>
        <family val="2"/>
        <scheme val="minor"/>
      </rPr>
      <t xml:space="preserve">: </t>
    </r>
  </si>
  <si>
    <r>
      <t>*) BSA enl. Dubois&amp;Dubois ([Vikt</t>
    </r>
    <r>
      <rPr>
        <vertAlign val="superscript"/>
        <sz val="8"/>
        <color theme="1"/>
        <rFont val="Calibri"/>
        <family val="2"/>
        <scheme val="minor"/>
      </rPr>
      <t>0,425</t>
    </r>
    <r>
      <rPr>
        <sz val="8"/>
        <color theme="1"/>
        <rFont val="Calibri"/>
        <family val="2"/>
        <scheme val="minor"/>
      </rPr>
      <t xml:space="preserve">  x  Längd</t>
    </r>
    <r>
      <rPr>
        <vertAlign val="superscript"/>
        <sz val="8"/>
        <color theme="1"/>
        <rFont val="Calibri"/>
        <family val="2"/>
        <scheme val="minor"/>
      </rPr>
      <t>0,725</t>
    </r>
    <r>
      <rPr>
        <sz val="8"/>
        <color theme="1"/>
        <rFont val="Calibri"/>
        <family val="2"/>
        <scheme val="minor"/>
      </rPr>
      <t>] x 0,007184)</t>
    </r>
  </si>
  <si>
    <r>
      <t>VO</t>
    </r>
    <r>
      <rPr>
        <vertAlign val="subscript"/>
        <sz val="14"/>
        <color theme="1"/>
        <rFont val="Calibri"/>
        <family val="2"/>
        <scheme val="minor"/>
      </rPr>
      <t>2peak</t>
    </r>
    <r>
      <rPr>
        <sz val="14"/>
        <color theme="1"/>
        <rFont val="Calibri"/>
        <family val="2"/>
        <scheme val="minor"/>
      </rPr>
      <t xml:space="preserve"> i nedre 5:e percentilen*:</t>
    </r>
  </si>
  <si>
    <r>
      <t>*) Detta föreslås avgöra om VO</t>
    </r>
    <r>
      <rPr>
        <vertAlign val="subscript"/>
        <sz val="10"/>
        <color theme="1"/>
        <rFont val="Calibri"/>
        <family val="2"/>
        <scheme val="minor"/>
      </rPr>
      <t>2peak</t>
    </r>
    <r>
      <rPr>
        <sz val="10"/>
        <color theme="1"/>
        <rFont val="Calibri"/>
        <family val="2"/>
        <scheme val="minor"/>
      </rPr>
      <t xml:space="preserve"> är sänkt/lågt eller ej.</t>
    </r>
  </si>
  <si>
    <t xml:space="preserve">  BSA*</t>
  </si>
  <si>
    <r>
      <t>Uppmätt VE/VCO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-slope</t>
    </r>
  </si>
  <si>
    <t>VO2peak</t>
  </si>
  <si>
    <t>VE/VCO2-slope</t>
  </si>
  <si>
    <t>90th upper</t>
  </si>
  <si>
    <t>95th upper</t>
  </si>
  <si>
    <r>
      <t>Predicerad VE/VCO</t>
    </r>
    <r>
      <rPr>
        <vertAlign val="sub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>-slope:</t>
    </r>
  </si>
  <si>
    <t>Slope i övre 95:e percentilen*:</t>
  </si>
  <si>
    <t>Övre 90:e percentil:</t>
  </si>
  <si>
    <t>Övre 95:e percentil:</t>
  </si>
  <si>
    <r>
      <t>*) Detta föreslås avgöra om VE/VCO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-slope är förhöjd eller ej.</t>
    </r>
  </si>
  <si>
    <r>
      <t>% av predicerad VE/VCO</t>
    </r>
    <r>
      <rPr>
        <b/>
        <vertAlign val="subscript"/>
        <sz val="14"/>
        <color theme="1"/>
        <rFont val="Calibri"/>
        <family val="2"/>
        <scheme val="minor"/>
      </rPr>
      <t>2</t>
    </r>
    <r>
      <rPr>
        <b/>
        <sz val="14"/>
        <color theme="1"/>
        <rFont val="Calibri"/>
        <family val="2"/>
        <scheme val="minor"/>
      </rPr>
      <t>-slope:</t>
    </r>
  </si>
  <si>
    <r>
      <t>Predicerat VE/VCO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-slope: </t>
    </r>
  </si>
  <si>
    <t>53.3 + 0.041*A - 0.143*H - 0.002*W</t>
  </si>
  <si>
    <t xml:space="preserve">26,7 + 0.046*A - 0.039*H + 0.03*W </t>
  </si>
  <si>
    <t>20.9 + 0.139*A - 0.043*H + 0.044*W + 1.45*cs</t>
  </si>
  <si>
    <t>30.2 + 0.144*A - 0.059*H + 0.042*W + 1.81*cs</t>
  </si>
  <si>
    <t xml:space="preserve">Övre 95:e percentil: </t>
  </si>
  <si>
    <t>95th percentile</t>
  </si>
  <si>
    <t>90th percentile</t>
  </si>
  <si>
    <t>10th percentile</t>
  </si>
  <si>
    <t>5th percentile</t>
  </si>
  <si>
    <t>Lathund ver 2019-10-24, utformad av K Hedman i samarbete med P Blom, A Rickenlund, H Wallin, P Nivedahl.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</si>
</sst>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3" borderId="0" xfId="0" applyFill="1"/>
    <xf numFmtId="0" fontId="1" fillId="3" borderId="4" xfId="0" applyFont="1" applyFill="1" applyBorder="1" applyAlignment="1" applyProtection="1">
      <alignment horizontal="right"/>
    </xf>
    <xf numFmtId="1" fontId="0" fillId="3" borderId="0" xfId="0" applyNumberFormat="1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/>
    </xf>
    <xf numFmtId="164" fontId="0" fillId="3" borderId="0" xfId="0" applyNumberFormat="1" applyFont="1" applyFill="1" applyBorder="1" applyAlignment="1" applyProtection="1">
      <alignment horizontal="center"/>
    </xf>
    <xf numFmtId="0" fontId="0" fillId="3" borderId="5" xfId="0" applyFont="1" applyFill="1" applyBorder="1" applyProtection="1"/>
    <xf numFmtId="0" fontId="1" fillId="3" borderId="6" xfId="0" applyFont="1" applyFill="1" applyBorder="1" applyAlignment="1" applyProtection="1">
      <alignment horizontal="center"/>
    </xf>
    <xf numFmtId="2" fontId="0" fillId="3" borderId="7" xfId="0" applyNumberFormat="1" applyFont="1" applyFill="1" applyBorder="1" applyAlignment="1" applyProtection="1">
      <alignment horizontal="center"/>
    </xf>
    <xf numFmtId="0" fontId="0" fillId="3" borderId="8" xfId="0" applyFont="1" applyFill="1" applyBorder="1" applyProtection="1"/>
    <xf numFmtId="0" fontId="0" fillId="3" borderId="0" xfId="0" applyFill="1" applyProtection="1"/>
    <xf numFmtId="0" fontId="0" fillId="3" borderId="0" xfId="0" applyFill="1" applyBorder="1" applyProtection="1"/>
    <xf numFmtId="0" fontId="0" fillId="3" borderId="4" xfId="0" applyFill="1" applyBorder="1" applyProtection="1"/>
    <xf numFmtId="0" fontId="0" fillId="3" borderId="5" xfId="0" applyFill="1" applyBorder="1" applyProtection="1"/>
    <xf numFmtId="0" fontId="0" fillId="3" borderId="6" xfId="0" applyFill="1" applyBorder="1" applyProtection="1"/>
    <xf numFmtId="0" fontId="0" fillId="3" borderId="7" xfId="0" applyFill="1" applyBorder="1" applyProtection="1"/>
    <xf numFmtId="0" fontId="0" fillId="3" borderId="8" xfId="0" applyFill="1" applyBorder="1" applyProtection="1"/>
    <xf numFmtId="0" fontId="0" fillId="3" borderId="5" xfId="0" applyFont="1" applyFill="1" applyBorder="1" applyAlignment="1" applyProtection="1">
      <alignment horizontal="left" vertical="center"/>
    </xf>
    <xf numFmtId="0" fontId="0" fillId="3" borderId="0" xfId="0" applyFill="1" applyAlignment="1" applyProtection="1">
      <alignment horizontal="center"/>
    </xf>
    <xf numFmtId="0" fontId="16" fillId="3" borderId="0" xfId="0" applyFont="1" applyFill="1" applyProtection="1"/>
    <xf numFmtId="0" fontId="1" fillId="3" borderId="0" xfId="0" applyFont="1" applyFill="1" applyBorder="1" applyAlignment="1" applyProtection="1">
      <alignment horizontal="right"/>
    </xf>
    <xf numFmtId="0" fontId="0" fillId="3" borderId="0" xfId="0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center"/>
    </xf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3" borderId="0" xfId="0" applyFont="1" applyFill="1" applyBorder="1" applyAlignment="1">
      <alignment horizontal="right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right"/>
    </xf>
    <xf numFmtId="1" fontId="1" fillId="3" borderId="0" xfId="0" applyNumberFormat="1" applyFont="1" applyFill="1"/>
    <xf numFmtId="0" fontId="0" fillId="2" borderId="9" xfId="0" applyFill="1" applyBorder="1"/>
    <xf numFmtId="0" fontId="1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1" fillId="2" borderId="4" xfId="0" applyFont="1" applyFill="1" applyBorder="1"/>
    <xf numFmtId="0" fontId="0" fillId="2" borderId="10" xfId="0" applyFill="1" applyBorder="1"/>
    <xf numFmtId="0" fontId="0" fillId="2" borderId="11" xfId="0" applyFill="1" applyBorder="1"/>
    <xf numFmtId="0" fontId="1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right"/>
    </xf>
    <xf numFmtId="0" fontId="0" fillId="3" borderId="0" xfId="0" quotePrefix="1" applyFill="1" applyAlignment="1">
      <alignment horizontal="right"/>
    </xf>
    <xf numFmtId="0" fontId="14" fillId="3" borderId="0" xfId="0" applyFont="1" applyFill="1" applyAlignment="1" applyProtection="1">
      <alignment vertical="center"/>
    </xf>
    <xf numFmtId="0" fontId="0" fillId="3" borderId="0" xfId="0" applyFont="1" applyFill="1" applyBorder="1"/>
    <xf numFmtId="0" fontId="0" fillId="3" borderId="0" xfId="0" applyFont="1" applyFill="1" applyBorder="1" applyAlignment="1">
      <alignment horizont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/>
    </xf>
    <xf numFmtId="0" fontId="3" fillId="3" borderId="0" xfId="0" applyFont="1" applyFill="1" applyProtection="1"/>
    <xf numFmtId="0" fontId="0" fillId="5" borderId="1" xfId="0" applyFill="1" applyBorder="1" applyProtection="1"/>
    <xf numFmtId="0" fontId="0" fillId="5" borderId="2" xfId="0" applyFill="1" applyBorder="1" applyProtection="1"/>
    <xf numFmtId="0" fontId="1" fillId="5" borderId="2" xfId="0" applyFont="1" applyFill="1" applyBorder="1" applyProtection="1"/>
    <xf numFmtId="0" fontId="2" fillId="5" borderId="2" xfId="0" applyFont="1" applyFill="1" applyBorder="1" applyAlignment="1" applyProtection="1">
      <alignment horizontal="right" vertical="center"/>
    </xf>
    <xf numFmtId="9" fontId="2" fillId="5" borderId="2" xfId="0" applyNumberFormat="1" applyFont="1" applyFill="1" applyBorder="1" applyAlignment="1" applyProtection="1">
      <alignment horizontal="center" vertical="center"/>
    </xf>
    <xf numFmtId="0" fontId="7" fillId="5" borderId="2" xfId="0" applyFont="1" applyFill="1" applyBorder="1" applyProtection="1"/>
    <xf numFmtId="0" fontId="0" fillId="5" borderId="3" xfId="0" applyFill="1" applyBorder="1" applyProtection="1"/>
    <xf numFmtId="0" fontId="0" fillId="5" borderId="4" xfId="0" applyFill="1" applyBorder="1" applyProtection="1"/>
    <xf numFmtId="0" fontId="0" fillId="5" borderId="0" xfId="0" applyFill="1" applyBorder="1" applyProtection="1"/>
    <xf numFmtId="0" fontId="7" fillId="5" borderId="0" xfId="0" applyFont="1" applyFill="1" applyBorder="1" applyAlignment="1" applyProtection="1">
      <alignment horizontal="right" vertical="center"/>
    </xf>
    <xf numFmtId="1" fontId="7" fillId="5" borderId="0" xfId="0" applyNumberFormat="1" applyFont="1" applyFill="1" applyBorder="1" applyAlignment="1" applyProtection="1">
      <alignment horizontal="center" vertical="center"/>
    </xf>
    <xf numFmtId="0" fontId="7" fillId="5" borderId="0" xfId="0" applyFont="1" applyFill="1" applyBorder="1" applyAlignment="1" applyProtection="1">
      <alignment horizontal="center" vertical="center"/>
    </xf>
    <xf numFmtId="0" fontId="0" fillId="5" borderId="5" xfId="0" applyFill="1" applyBorder="1" applyProtection="1"/>
    <xf numFmtId="0" fontId="0" fillId="5" borderId="0" xfId="0" applyFill="1" applyBorder="1" applyAlignment="1" applyProtection="1">
      <alignment horizontal="right"/>
    </xf>
    <xf numFmtId="1" fontId="0" fillId="5" borderId="0" xfId="0" applyNumberFormat="1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center"/>
    </xf>
    <xf numFmtId="0" fontId="0" fillId="5" borderId="6" xfId="0" applyFill="1" applyBorder="1" applyProtection="1"/>
    <xf numFmtId="0" fontId="0" fillId="5" borderId="7" xfId="0" applyFill="1" applyBorder="1" applyProtection="1"/>
    <xf numFmtId="0" fontId="0" fillId="5" borderId="7" xfId="0" applyFill="1" applyBorder="1" applyAlignment="1" applyProtection="1">
      <alignment horizontal="right"/>
    </xf>
    <xf numFmtId="1" fontId="0" fillId="5" borderId="7" xfId="0" applyNumberFormat="1" applyFill="1" applyBorder="1" applyAlignment="1" applyProtection="1">
      <alignment horizontal="center"/>
    </xf>
    <xf numFmtId="0" fontId="0" fillId="5" borderId="7" xfId="0" applyFill="1" applyBorder="1" applyAlignment="1" applyProtection="1">
      <alignment horizontal="center"/>
    </xf>
    <xf numFmtId="0" fontId="0" fillId="5" borderId="8" xfId="0" applyFill="1" applyBorder="1" applyProtection="1"/>
    <xf numFmtId="0" fontId="0" fillId="6" borderId="1" xfId="0" applyFill="1" applyBorder="1" applyProtection="1"/>
    <xf numFmtId="0" fontId="0" fillId="6" borderId="2" xfId="0" applyFill="1" applyBorder="1" applyProtection="1"/>
    <xf numFmtId="0" fontId="1" fillId="6" borderId="2" xfId="0" applyFont="1" applyFill="1" applyBorder="1" applyProtection="1"/>
    <xf numFmtId="0" fontId="2" fillId="6" borderId="2" xfId="0" applyFont="1" applyFill="1" applyBorder="1" applyAlignment="1" applyProtection="1">
      <alignment horizontal="right" vertical="center"/>
    </xf>
    <xf numFmtId="9" fontId="2" fillId="6" borderId="2" xfId="0" applyNumberFormat="1" applyFont="1" applyFill="1" applyBorder="1" applyAlignment="1" applyProtection="1">
      <alignment horizontal="center" vertical="center"/>
    </xf>
    <xf numFmtId="0" fontId="7" fillId="6" borderId="2" xfId="0" applyFont="1" applyFill="1" applyBorder="1" applyProtection="1"/>
    <xf numFmtId="0" fontId="0" fillId="6" borderId="3" xfId="0" applyFill="1" applyBorder="1" applyProtection="1"/>
    <xf numFmtId="0" fontId="0" fillId="6" borderId="4" xfId="0" applyFill="1" applyBorder="1" applyProtection="1"/>
    <xf numFmtId="0" fontId="0" fillId="6" borderId="0" xfId="0" applyFill="1" applyBorder="1" applyProtection="1"/>
    <xf numFmtId="0" fontId="7" fillId="6" borderId="0" xfId="0" applyFont="1" applyFill="1" applyBorder="1" applyAlignment="1" applyProtection="1">
      <alignment horizontal="right" vertical="center"/>
    </xf>
    <xf numFmtId="1" fontId="7" fillId="6" borderId="0" xfId="0" applyNumberFormat="1" applyFont="1" applyFill="1" applyBorder="1" applyAlignment="1" applyProtection="1">
      <alignment horizontal="center" vertical="center"/>
    </xf>
    <xf numFmtId="0" fontId="7" fillId="6" borderId="0" xfId="0" applyFont="1" applyFill="1" applyBorder="1" applyAlignment="1" applyProtection="1">
      <alignment horizontal="center" vertical="center"/>
    </xf>
    <xf numFmtId="0" fontId="0" fillId="6" borderId="5" xfId="0" applyFill="1" applyBorder="1" applyProtection="1"/>
    <xf numFmtId="0" fontId="0" fillId="6" borderId="0" xfId="0" applyFill="1" applyBorder="1" applyAlignment="1" applyProtection="1">
      <alignment horizontal="right"/>
    </xf>
    <xf numFmtId="1" fontId="0" fillId="6" borderId="0" xfId="0" applyNumberForma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6" xfId="0" applyFill="1" applyBorder="1" applyProtection="1"/>
    <xf numFmtId="0" fontId="0" fillId="6" borderId="7" xfId="0" applyFill="1" applyBorder="1" applyProtection="1"/>
    <xf numFmtId="0" fontId="0" fillId="6" borderId="7" xfId="0" applyFill="1" applyBorder="1" applyAlignment="1" applyProtection="1">
      <alignment horizontal="right"/>
    </xf>
    <xf numFmtId="1" fontId="0" fillId="6" borderId="7" xfId="0" applyNumberFormat="1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0" fillId="6" borderId="8" xfId="0" applyFill="1" applyBorder="1" applyProtection="1"/>
    <xf numFmtId="0" fontId="22" fillId="3" borderId="12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right" vertical="top"/>
    </xf>
    <xf numFmtId="1" fontId="4" fillId="3" borderId="0" xfId="0" applyNumberFormat="1" applyFont="1" applyFill="1" applyBorder="1" applyAlignment="1" applyProtection="1">
      <alignment horizontal="center" vertical="top"/>
    </xf>
    <xf numFmtId="0" fontId="1" fillId="3" borderId="7" xfId="0" applyFont="1" applyFill="1" applyBorder="1" applyAlignment="1" applyProtection="1">
      <alignment horizontal="right"/>
    </xf>
    <xf numFmtId="0" fontId="0" fillId="6" borderId="12" xfId="0" applyFill="1" applyBorder="1" applyAlignment="1" applyProtection="1">
      <alignment horizontal="center"/>
      <protection locked="0"/>
    </xf>
    <xf numFmtId="0" fontId="0" fillId="5" borderId="13" xfId="0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3" xfId="0" applyFont="1" applyFill="1" applyBorder="1" applyAlignment="1" applyProtection="1">
      <alignment horizontal="center" vertical="center"/>
    </xf>
    <xf numFmtId="0" fontId="13" fillId="3" borderId="0" xfId="0" applyFont="1" applyFill="1" applyAlignment="1" applyProtection="1">
      <alignment horizontal="left" vertical="top" wrapText="1"/>
    </xf>
    <xf numFmtId="0" fontId="3" fillId="3" borderId="4" xfId="0" applyFont="1" applyFill="1" applyBorder="1" applyAlignment="1">
      <alignment horizontal="left" wrapText="1"/>
    </xf>
    <xf numFmtId="0" fontId="3" fillId="3" borderId="0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left" wrapText="1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7"/>
  <sheetViews>
    <sheetView tabSelected="1" zoomScale="96" zoomScaleNormal="96" workbookViewId="0">
      <selection activeCell="F5" sqref="F5"/>
    </sheetView>
  </sheetViews>
  <sheetFormatPr defaultColWidth="8.88671875" defaultRowHeight="14.4" x14ac:dyDescent="0.3"/>
  <cols>
    <col min="1" max="1" width="3.5546875" style="10" customWidth="1"/>
    <col min="2" max="2" width="4.5546875" style="10" customWidth="1"/>
    <col min="3" max="3" width="9.88671875" style="10" customWidth="1"/>
    <col min="4" max="4" width="8.88671875" style="10"/>
    <col min="5" max="5" width="11.5546875" style="10" customWidth="1"/>
    <col min="6" max="6" width="10.44140625" style="10" customWidth="1"/>
    <col min="7" max="7" width="11.109375" style="10" bestFit="1" customWidth="1"/>
    <col min="8" max="8" width="3.44140625" style="10" customWidth="1"/>
    <col min="9" max="9" width="0.109375" style="10" customWidth="1"/>
    <col min="10" max="10" width="5" style="10" customWidth="1"/>
    <col min="11" max="11" width="18.44140625" style="10" customWidth="1"/>
    <col min="12" max="12" width="15.109375" style="10" customWidth="1"/>
    <col min="13" max="13" width="3" style="10" customWidth="1"/>
    <col min="14" max="14" width="10.44140625" style="10" customWidth="1"/>
    <col min="15" max="15" width="10.5546875" style="10" customWidth="1"/>
    <col min="16" max="16" width="8.88671875" style="10"/>
    <col min="17" max="17" width="3.44140625" style="10" customWidth="1"/>
    <col min="18" max="20" width="8.88671875" style="10"/>
    <col min="21" max="21" width="12.5546875" style="10" customWidth="1"/>
    <col min="22" max="22" width="1.5546875" style="10" customWidth="1"/>
    <col min="23" max="16384" width="8.88671875" style="10"/>
  </cols>
  <sheetData>
    <row r="1" spans="3:10" ht="9.6" customHeight="1" thickBot="1" x14ac:dyDescent="0.35"/>
    <row r="2" spans="3:10" ht="21" customHeight="1" x14ac:dyDescent="0.3">
      <c r="C2" s="101" t="s">
        <v>31</v>
      </c>
      <c r="D2" s="102"/>
      <c r="E2" s="102"/>
      <c r="F2" s="102"/>
      <c r="G2" s="102"/>
      <c r="H2" s="103"/>
      <c r="I2" s="18"/>
    </row>
    <row r="3" spans="3:10" ht="7.5" customHeight="1" x14ac:dyDescent="0.3">
      <c r="C3" s="12"/>
      <c r="D3" s="11"/>
      <c r="E3" s="11"/>
      <c r="F3" s="11"/>
      <c r="G3" s="11"/>
      <c r="H3" s="13"/>
      <c r="I3" s="18"/>
    </row>
    <row r="4" spans="3:10" x14ac:dyDescent="0.3">
      <c r="C4" s="12"/>
      <c r="D4" s="11"/>
      <c r="E4" s="20" t="s">
        <v>16</v>
      </c>
      <c r="F4" s="95" t="s">
        <v>13</v>
      </c>
      <c r="G4" s="21" t="s">
        <v>17</v>
      </c>
      <c r="H4" s="22"/>
      <c r="I4" s="18"/>
      <c r="J4" s="23"/>
    </row>
    <row r="5" spans="3:10" x14ac:dyDescent="0.3">
      <c r="C5" s="12"/>
      <c r="D5" s="11"/>
      <c r="E5" s="24" t="s">
        <v>1</v>
      </c>
      <c r="F5" s="95">
        <v>45</v>
      </c>
      <c r="G5" s="21"/>
      <c r="H5" s="22"/>
      <c r="I5" s="18"/>
    </row>
    <row r="6" spans="3:10" x14ac:dyDescent="0.3">
      <c r="C6" s="12"/>
      <c r="D6" s="11"/>
      <c r="E6" s="24" t="s">
        <v>2</v>
      </c>
      <c r="F6" s="95" t="s">
        <v>6</v>
      </c>
      <c r="G6" s="21" t="s">
        <v>7</v>
      </c>
      <c r="H6" s="22"/>
    </row>
    <row r="7" spans="3:10" x14ac:dyDescent="0.3">
      <c r="C7" s="12"/>
      <c r="D7" s="11"/>
      <c r="E7" s="24" t="s">
        <v>3</v>
      </c>
      <c r="F7" s="95">
        <v>190</v>
      </c>
      <c r="G7" s="21" t="s">
        <v>8</v>
      </c>
      <c r="H7" s="22"/>
      <c r="I7" s="18"/>
    </row>
    <row r="8" spans="3:10" x14ac:dyDescent="0.3">
      <c r="C8" s="12"/>
      <c r="D8" s="11"/>
      <c r="E8" s="24" t="s">
        <v>4</v>
      </c>
      <c r="F8" s="95">
        <v>85</v>
      </c>
      <c r="G8" s="21" t="s">
        <v>9</v>
      </c>
      <c r="H8" s="22"/>
      <c r="I8" s="18"/>
    </row>
    <row r="9" spans="3:10" ht="6" customHeight="1" x14ac:dyDescent="0.3">
      <c r="C9" s="12"/>
      <c r="D9" s="11"/>
      <c r="E9" s="11"/>
      <c r="F9" s="11"/>
      <c r="G9" s="11"/>
      <c r="H9" s="13"/>
    </row>
    <row r="10" spans="3:10" ht="15" customHeight="1" x14ac:dyDescent="0.35">
      <c r="C10" s="12"/>
      <c r="D10" s="11"/>
      <c r="E10" s="20" t="s">
        <v>43</v>
      </c>
      <c r="F10" s="99">
        <v>3232</v>
      </c>
      <c r="G10" s="21" t="s">
        <v>33</v>
      </c>
      <c r="H10" s="22"/>
    </row>
    <row r="11" spans="3:10" ht="7.5" customHeight="1" x14ac:dyDescent="0.3">
      <c r="C11" s="12"/>
      <c r="D11" s="11"/>
      <c r="E11" s="96"/>
      <c r="F11" s="97"/>
      <c r="G11" s="11"/>
      <c r="H11" s="13"/>
    </row>
    <row r="12" spans="3:10" ht="17.399999999999999" customHeight="1" thickBot="1" x14ac:dyDescent="0.4">
      <c r="C12" s="14"/>
      <c r="D12" s="15"/>
      <c r="E12" s="98" t="s">
        <v>55</v>
      </c>
      <c r="F12" s="100">
        <v>28</v>
      </c>
      <c r="G12" s="15"/>
      <c r="H12" s="16"/>
    </row>
    <row r="13" spans="3:10" ht="6" customHeight="1" x14ac:dyDescent="0.3"/>
    <row r="14" spans="3:10" ht="6" customHeight="1" thickBot="1" x14ac:dyDescent="0.35"/>
    <row r="15" spans="3:10" ht="14.4" customHeight="1" x14ac:dyDescent="0.3">
      <c r="D15" s="104" t="s">
        <v>28</v>
      </c>
      <c r="E15" s="105"/>
      <c r="F15" s="106"/>
    </row>
    <row r="16" spans="3:10" ht="14.4" customHeight="1" x14ac:dyDescent="0.35">
      <c r="D16" s="2" t="s">
        <v>44</v>
      </c>
      <c r="E16" s="3">
        <f>F10/F8</f>
        <v>38.023529411764706</v>
      </c>
      <c r="F16" s="17" t="s">
        <v>32</v>
      </c>
    </row>
    <row r="17" spans="2:11" x14ac:dyDescent="0.3">
      <c r="D17" s="4" t="s">
        <v>0</v>
      </c>
      <c r="E17" s="5">
        <f>10000*F8/(F7^2)</f>
        <v>23.545706371191137</v>
      </c>
      <c r="F17" s="6" t="s">
        <v>29</v>
      </c>
    </row>
    <row r="18" spans="2:11" ht="15" thickBot="1" x14ac:dyDescent="0.35">
      <c r="D18" s="7" t="s">
        <v>54</v>
      </c>
      <c r="E18" s="8">
        <f>0.007184*((F8^0.425)*(F7^0.725))</f>
        <v>2.1304224392483682</v>
      </c>
      <c r="F18" s="9" t="s">
        <v>30</v>
      </c>
    </row>
    <row r="19" spans="2:11" ht="13.5" customHeight="1" x14ac:dyDescent="0.3">
      <c r="D19" s="45" t="s">
        <v>51</v>
      </c>
    </row>
    <row r="20" spans="2:11" ht="6" customHeight="1" x14ac:dyDescent="0.3"/>
    <row r="21" spans="2:11" ht="7.5" customHeight="1" thickBot="1" x14ac:dyDescent="0.35"/>
    <row r="22" spans="2:11" ht="24.75" customHeight="1" x14ac:dyDescent="0.35">
      <c r="B22" s="73"/>
      <c r="C22" s="74"/>
      <c r="D22" s="75"/>
      <c r="E22" s="76" t="s">
        <v>41</v>
      </c>
      <c r="F22" s="77">
        <f>F10/F23</f>
        <v>1.5730173022169229</v>
      </c>
      <c r="G22" s="78"/>
      <c r="H22" s="79"/>
    </row>
    <row r="23" spans="2:11" ht="24" customHeight="1" x14ac:dyDescent="0.3">
      <c r="B23" s="80"/>
      <c r="C23" s="81"/>
      <c r="D23" s="81"/>
      <c r="E23" s="82" t="s">
        <v>42</v>
      </c>
      <c r="F23" s="83">
        <f>Beräkningsmatriser!F16</f>
        <v>2054.6499999999996</v>
      </c>
      <c r="G23" s="84" t="s">
        <v>33</v>
      </c>
      <c r="H23" s="85"/>
    </row>
    <row r="24" spans="2:11" ht="31.65" customHeight="1" x14ac:dyDescent="0.3">
      <c r="B24" s="80"/>
      <c r="C24" s="81"/>
      <c r="D24" s="81"/>
      <c r="E24" s="82" t="s">
        <v>52</v>
      </c>
      <c r="F24" s="84" t="str">
        <f>IF(F10&lt;=F26,"Ja","Nej")</f>
        <v>Nej</v>
      </c>
      <c r="G24" s="84" t="s">
        <v>36</v>
      </c>
      <c r="H24" s="85"/>
      <c r="J24" s="107" t="s">
        <v>53</v>
      </c>
      <c r="K24" s="107"/>
    </row>
    <row r="25" spans="2:11" ht="14.1" customHeight="1" x14ac:dyDescent="0.3">
      <c r="B25" s="80"/>
      <c r="C25" s="81"/>
      <c r="D25" s="81"/>
      <c r="E25" s="86" t="s">
        <v>34</v>
      </c>
      <c r="F25" s="87">
        <f>Beräkningsmatriser!F22</f>
        <v>1635.1000000000001</v>
      </c>
      <c r="G25" s="88" t="s">
        <v>33</v>
      </c>
      <c r="H25" s="85"/>
    </row>
    <row r="26" spans="2:11" ht="15" thickBot="1" x14ac:dyDescent="0.35">
      <c r="B26" s="89"/>
      <c r="C26" s="90"/>
      <c r="D26" s="90"/>
      <c r="E26" s="91" t="s">
        <v>35</v>
      </c>
      <c r="F26" s="92">
        <f>Beräkningsmatriser!F28</f>
        <v>1606.5500000000002</v>
      </c>
      <c r="G26" s="93" t="s">
        <v>33</v>
      </c>
      <c r="H26" s="94"/>
    </row>
    <row r="27" spans="2:11" ht="8.25" customHeight="1" thickBot="1" x14ac:dyDescent="0.35">
      <c r="B27" s="11"/>
      <c r="C27" s="11"/>
      <c r="D27" s="11"/>
      <c r="E27" s="11"/>
      <c r="F27" s="11"/>
      <c r="G27" s="11"/>
      <c r="H27" s="11"/>
    </row>
    <row r="28" spans="2:11" ht="28.8" customHeight="1" x14ac:dyDescent="0.35">
      <c r="B28" s="51"/>
      <c r="C28" s="52"/>
      <c r="D28" s="53"/>
      <c r="E28" s="54" t="s">
        <v>65</v>
      </c>
      <c r="F28" s="55">
        <f>F12/F29</f>
        <v>1.1710581346716855</v>
      </c>
      <c r="G28" s="56"/>
      <c r="H28" s="57"/>
    </row>
    <row r="29" spans="2:11" ht="29.4" customHeight="1" x14ac:dyDescent="0.3">
      <c r="B29" s="58"/>
      <c r="C29" s="59"/>
      <c r="D29" s="59"/>
      <c r="E29" s="60" t="s">
        <v>60</v>
      </c>
      <c r="F29" s="61">
        <f>Beräkningsmatriser!M16</f>
        <v>23.91</v>
      </c>
      <c r="G29" s="62"/>
      <c r="H29" s="63"/>
    </row>
    <row r="30" spans="2:11" ht="30.6" customHeight="1" x14ac:dyDescent="0.3">
      <c r="B30" s="58"/>
      <c r="C30" s="59"/>
      <c r="D30" s="59"/>
      <c r="E30" s="60" t="s">
        <v>61</v>
      </c>
      <c r="F30" s="62" t="str">
        <f>IF(F12&gt;=F32,"Ja","Nej")</f>
        <v>Ja</v>
      </c>
      <c r="G30" s="62" t="s">
        <v>36</v>
      </c>
      <c r="H30" s="63"/>
      <c r="J30" s="107" t="s">
        <v>64</v>
      </c>
      <c r="K30" s="107"/>
    </row>
    <row r="31" spans="2:11" ht="19.8" customHeight="1" x14ac:dyDescent="0.3">
      <c r="B31" s="58"/>
      <c r="C31" s="59"/>
      <c r="D31" s="59"/>
      <c r="E31" s="64" t="s">
        <v>62</v>
      </c>
      <c r="F31" s="65">
        <f>Beräkningsmatriser!M22</f>
        <v>28.550000000000004</v>
      </c>
      <c r="G31" s="66"/>
      <c r="H31" s="63"/>
    </row>
    <row r="32" spans="2:11" ht="18" customHeight="1" thickBot="1" x14ac:dyDescent="0.35">
      <c r="B32" s="67"/>
      <c r="C32" s="68"/>
      <c r="D32" s="68"/>
      <c r="E32" s="69" t="s">
        <v>63</v>
      </c>
      <c r="F32" s="70">
        <f>Beräkningsmatriser!M28</f>
        <v>27.804999999999996</v>
      </c>
      <c r="G32" s="71"/>
      <c r="H32" s="72"/>
    </row>
    <row r="34" spans="2:11" ht="18" x14ac:dyDescent="0.4">
      <c r="B34" s="19" t="s">
        <v>45</v>
      </c>
    </row>
    <row r="35" spans="2:11" x14ac:dyDescent="0.3">
      <c r="B35" s="107" t="s">
        <v>46</v>
      </c>
      <c r="C35" s="107"/>
      <c r="D35" s="107"/>
      <c r="E35" s="107"/>
      <c r="F35" s="107"/>
      <c r="G35" s="107"/>
      <c r="H35" s="107"/>
      <c r="I35" s="107"/>
      <c r="J35" s="107"/>
      <c r="K35" s="107"/>
    </row>
    <row r="36" spans="2:11" ht="31.8" customHeight="1" x14ac:dyDescent="0.3">
      <c r="B36" s="107"/>
      <c r="C36" s="107"/>
      <c r="D36" s="107"/>
      <c r="E36" s="107"/>
      <c r="F36" s="107"/>
      <c r="G36" s="107"/>
      <c r="H36" s="107"/>
      <c r="I36" s="107"/>
      <c r="J36" s="107"/>
      <c r="K36" s="107"/>
    </row>
    <row r="37" spans="2:11" x14ac:dyDescent="0.3">
      <c r="B37" s="50" t="s">
        <v>76</v>
      </c>
    </row>
  </sheetData>
  <sheetProtection algorithmName="SHA-512" hashValue="GjLreUrba3uE73q7x6hILLyDBv1CtN4M8Euj+VmPdUcTsg28tLucmIDjQHVMnLZFjP9dHPvQRALk+xJHclESPQ==" saltValue="SNCvV94AX0pSOJJomtPvAw==" spinCount="100000" sheet="1" selectLockedCells="1"/>
  <mergeCells count="5">
    <mergeCell ref="C2:H2"/>
    <mergeCell ref="D15:F15"/>
    <mergeCell ref="B35:K36"/>
    <mergeCell ref="J24:K24"/>
    <mergeCell ref="J30:K30"/>
  </mergeCells>
  <dataValidations xWindow="593" yWindow="388" count="3">
    <dataValidation type="list" allowBlank="1" showInputMessage="1" showErrorMessage="1" sqref="F6" xr:uid="{00000000-0002-0000-0000-000000000000}">
      <formula1>Gender</formula1>
    </dataValidation>
    <dataValidation type="list" allowBlank="1" showInputMessage="1" showErrorMessage="1" promptTitle="Rökning" prompt="Rökare föreslås att alltid jämföras med en icke-rökande normalpopulation, och välj därför regelmässigt &quot;Nej&quot;." sqref="F4" xr:uid="{00000000-0002-0000-0000-000001000000}">
      <formula1>Smoking</formula1>
    </dataValidation>
    <dataValidation type="whole" allowBlank="1" showInputMessage="1" showErrorMessage="1" errorTitle="Ålder" error="Ålder minst 18 år" promptTitle="Ålder" prompt="Endast ålder över 17 år accepteras. _x000a_Ålder 18-24 år kodas automatiskt om till 25 år, då referensmaterialets ålder är 25-85 år." sqref="F5" xr:uid="{00000000-0002-0000-0000-000002000000}">
      <formula1>18</formula1>
      <formula2>120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5"/>
  <sheetViews>
    <sheetView workbookViewId="0">
      <selection activeCell="K13" sqref="K13"/>
    </sheetView>
  </sheetViews>
  <sheetFormatPr defaultColWidth="8.6640625" defaultRowHeight="14.4" x14ac:dyDescent="0.3"/>
  <cols>
    <col min="1" max="1" width="2.5546875" style="1" customWidth="1"/>
    <col min="2" max="11" width="8.6640625" style="1"/>
    <col min="12" max="12" width="15.6640625" style="1" customWidth="1"/>
    <col min="13" max="16384" width="8.6640625" style="1"/>
  </cols>
  <sheetData>
    <row r="2" spans="2:18" ht="47.1" customHeight="1" x14ac:dyDescent="0.3">
      <c r="B2" s="114" t="s">
        <v>14</v>
      </c>
      <c r="C2" s="114"/>
      <c r="D2" s="114"/>
      <c r="E2" s="114"/>
      <c r="F2" s="114"/>
      <c r="G2" s="114"/>
      <c r="H2" s="114"/>
      <c r="I2" s="114"/>
      <c r="J2" s="114"/>
      <c r="K2" s="114"/>
    </row>
    <row r="3" spans="2:18" ht="5.4" customHeight="1" thickBot="1" x14ac:dyDescent="0.35"/>
    <row r="4" spans="2:18" x14ac:dyDescent="0.3">
      <c r="B4" s="32" t="s">
        <v>11</v>
      </c>
      <c r="C4" s="33"/>
      <c r="D4" s="33"/>
      <c r="E4" s="33"/>
      <c r="F4" s="33"/>
      <c r="G4" s="33"/>
      <c r="H4" s="33"/>
      <c r="I4" s="34"/>
      <c r="K4" s="32" t="s">
        <v>11</v>
      </c>
      <c r="L4" s="33"/>
      <c r="M4" s="33"/>
      <c r="N4" s="33"/>
      <c r="O4" s="33"/>
      <c r="P4" s="33"/>
      <c r="Q4" s="33"/>
      <c r="R4" s="34"/>
    </row>
    <row r="5" spans="2:18" ht="16.8" x14ac:dyDescent="0.35">
      <c r="B5" s="35" t="s">
        <v>50</v>
      </c>
      <c r="C5" s="36"/>
      <c r="D5" s="36" t="s">
        <v>47</v>
      </c>
      <c r="E5" s="36"/>
      <c r="F5" s="36"/>
      <c r="G5" s="36"/>
      <c r="H5" s="36"/>
      <c r="I5" s="37"/>
      <c r="K5" s="35" t="s">
        <v>66</v>
      </c>
      <c r="L5" s="36"/>
      <c r="M5" s="36" t="s">
        <v>68</v>
      </c>
      <c r="N5" s="36"/>
      <c r="O5" s="36"/>
      <c r="P5" s="36"/>
      <c r="Q5" s="36"/>
      <c r="R5" s="37"/>
    </row>
    <row r="6" spans="2:18" x14ac:dyDescent="0.3">
      <c r="B6" s="35" t="s">
        <v>38</v>
      </c>
      <c r="C6" s="36"/>
      <c r="D6" s="36" t="s">
        <v>37</v>
      </c>
      <c r="E6" s="36"/>
      <c r="F6" s="36"/>
      <c r="G6" s="36"/>
      <c r="H6" s="36"/>
      <c r="I6" s="37"/>
      <c r="K6" s="35" t="s">
        <v>71</v>
      </c>
      <c r="L6" s="36"/>
      <c r="M6" s="36" t="s">
        <v>67</v>
      </c>
      <c r="N6" s="36"/>
      <c r="O6" s="36"/>
      <c r="P6" s="36"/>
      <c r="Q6" s="36"/>
      <c r="R6" s="37"/>
    </row>
    <row r="7" spans="2:18" x14ac:dyDescent="0.3">
      <c r="B7" s="35" t="s">
        <v>34</v>
      </c>
      <c r="C7" s="36"/>
      <c r="D7" s="36" t="str">
        <f>"316 - 9.24*A + 5.23*H + 8.72*W"</f>
        <v>316 - 9.24*A + 5.23*H + 8.72*W</v>
      </c>
      <c r="E7" s="36"/>
      <c r="F7" s="36"/>
      <c r="G7" s="36"/>
      <c r="H7" s="36"/>
      <c r="I7" s="37"/>
      <c r="K7" s="35" t="s">
        <v>62</v>
      </c>
      <c r="L7" s="36"/>
      <c r="M7" s="36" t="str">
        <f>"38.7 + 0.041*A - 0.077*H + 0.031*W"</f>
        <v>38.7 + 0.041*A - 0.077*H + 0.031*W</v>
      </c>
      <c r="N7" s="36"/>
      <c r="O7" s="36"/>
      <c r="P7" s="36"/>
      <c r="Q7" s="36"/>
      <c r="R7" s="37"/>
    </row>
    <row r="8" spans="2:18" x14ac:dyDescent="0.3">
      <c r="B8" s="35"/>
      <c r="C8" s="36"/>
      <c r="D8" s="36"/>
      <c r="E8" s="36"/>
      <c r="F8" s="36"/>
      <c r="G8" s="36"/>
      <c r="H8" s="36"/>
      <c r="I8" s="37"/>
      <c r="K8" s="35"/>
      <c r="L8" s="36"/>
      <c r="M8" s="36"/>
      <c r="N8" s="36"/>
      <c r="O8" s="36"/>
      <c r="P8" s="36"/>
      <c r="Q8" s="36"/>
      <c r="R8" s="37"/>
    </row>
    <row r="9" spans="2:18" x14ac:dyDescent="0.3">
      <c r="B9" s="38" t="s">
        <v>10</v>
      </c>
      <c r="C9" s="36"/>
      <c r="D9" s="36"/>
      <c r="E9" s="36"/>
      <c r="F9" s="36"/>
      <c r="G9" s="36"/>
      <c r="H9" s="36"/>
      <c r="I9" s="37"/>
      <c r="K9" s="38" t="s">
        <v>10</v>
      </c>
      <c r="L9" s="36"/>
      <c r="M9" s="36"/>
      <c r="N9" s="36"/>
      <c r="O9" s="36"/>
      <c r="P9" s="36"/>
      <c r="Q9" s="36"/>
      <c r="R9" s="37"/>
    </row>
    <row r="10" spans="2:18" ht="16.8" x14ac:dyDescent="0.35">
      <c r="B10" s="35" t="s">
        <v>49</v>
      </c>
      <c r="C10" s="36"/>
      <c r="D10" s="36" t="s">
        <v>48</v>
      </c>
      <c r="E10" s="36"/>
      <c r="F10" s="36"/>
      <c r="G10" s="36"/>
      <c r="H10" s="36"/>
      <c r="I10" s="37"/>
      <c r="K10" s="35" t="s">
        <v>66</v>
      </c>
      <c r="L10" s="36"/>
      <c r="M10" s="36" t="s">
        <v>69</v>
      </c>
      <c r="N10" s="36"/>
      <c r="O10" s="36"/>
      <c r="P10" s="36"/>
      <c r="Q10" s="36"/>
      <c r="R10" s="37"/>
    </row>
    <row r="11" spans="2:18" x14ac:dyDescent="0.3">
      <c r="B11" s="35" t="s">
        <v>38</v>
      </c>
      <c r="C11" s="36"/>
      <c r="D11" s="36" t="s">
        <v>39</v>
      </c>
      <c r="E11" s="36"/>
      <c r="F11" s="36"/>
      <c r="G11" s="36"/>
      <c r="H11" s="36"/>
      <c r="I11" s="37"/>
      <c r="K11" s="35" t="s">
        <v>71</v>
      </c>
      <c r="L11" s="36"/>
      <c r="M11" s="36" t="s">
        <v>70</v>
      </c>
      <c r="N11" s="36"/>
      <c r="O11" s="36"/>
      <c r="P11" s="36"/>
      <c r="Q11" s="36"/>
      <c r="R11" s="37"/>
    </row>
    <row r="12" spans="2:18" x14ac:dyDescent="0.3">
      <c r="B12" s="35" t="s">
        <v>34</v>
      </c>
      <c r="C12" s="36"/>
      <c r="D12" s="36" t="str">
        <f>"917 - -17.84*A + 6.45*H + 9.02*W - 44.11*cs"</f>
        <v>917 - -17.84*A + 6.45*H + 9.02*W - 44.11*cs</v>
      </c>
      <c r="E12" s="36"/>
      <c r="F12" s="36"/>
      <c r="G12" s="36"/>
      <c r="H12" s="36"/>
      <c r="I12" s="37"/>
      <c r="K12" s="35" t="s">
        <v>62</v>
      </c>
      <c r="L12" s="36"/>
      <c r="M12" s="36" t="str">
        <f>"30.4 + 0.159*A - 0.083*H + 0.064*W + 1.85*cs"</f>
        <v>30.4 + 0.159*A - 0.083*H + 0.064*W + 1.85*cs</v>
      </c>
      <c r="N12" s="36"/>
      <c r="O12" s="36"/>
      <c r="P12" s="36"/>
      <c r="Q12" s="36"/>
      <c r="R12" s="37"/>
    </row>
    <row r="13" spans="2:18" x14ac:dyDescent="0.3">
      <c r="B13" s="39"/>
      <c r="C13" s="31"/>
      <c r="D13" s="31"/>
      <c r="E13" s="31"/>
      <c r="F13" s="31"/>
      <c r="G13" s="31"/>
      <c r="H13" s="31"/>
      <c r="I13" s="40"/>
      <c r="K13" s="39"/>
      <c r="L13" s="31"/>
      <c r="M13" s="31"/>
      <c r="N13" s="31"/>
      <c r="O13" s="31"/>
      <c r="P13" s="31"/>
      <c r="Q13" s="31"/>
      <c r="R13" s="40"/>
    </row>
    <row r="14" spans="2:18" ht="14.4" customHeight="1" x14ac:dyDescent="0.3">
      <c r="B14" s="108" t="s">
        <v>40</v>
      </c>
      <c r="C14" s="109"/>
      <c r="D14" s="109"/>
      <c r="E14" s="109"/>
      <c r="F14" s="109"/>
      <c r="G14" s="109"/>
      <c r="H14" s="109"/>
      <c r="I14" s="110"/>
      <c r="K14" s="108" t="s">
        <v>40</v>
      </c>
      <c r="L14" s="109"/>
      <c r="M14" s="109"/>
      <c r="N14" s="109"/>
      <c r="O14" s="109"/>
      <c r="P14" s="109"/>
      <c r="Q14" s="109"/>
      <c r="R14" s="110"/>
    </row>
    <row r="15" spans="2:18" ht="15" thickBot="1" x14ac:dyDescent="0.35">
      <c r="B15" s="111"/>
      <c r="C15" s="112"/>
      <c r="D15" s="112"/>
      <c r="E15" s="112"/>
      <c r="F15" s="112"/>
      <c r="G15" s="112"/>
      <c r="H15" s="112"/>
      <c r="I15" s="113"/>
      <c r="K15" s="111"/>
      <c r="L15" s="112"/>
      <c r="M15" s="112"/>
      <c r="N15" s="112"/>
      <c r="O15" s="112"/>
      <c r="P15" s="112"/>
      <c r="Q15" s="112"/>
      <c r="R15" s="113"/>
    </row>
  </sheetData>
  <sheetProtection algorithmName="SHA-512" hashValue="iHQZuJem0v8NmMto9S1QlsizGv6cyM4DuJP72t9qWXAdVUrue2Z0ChgOKrusQhe0sFTMmRriLMRnb6H7eCbcWA==" saltValue="7JcBEBpOyXbWQcJ8MV2VqQ==" spinCount="100000" sheet="1" objects="1" scenarios="1" selectLockedCells="1" selectUnlockedCells="1"/>
  <mergeCells count="3">
    <mergeCell ref="B14:I15"/>
    <mergeCell ref="B2:K2"/>
    <mergeCell ref="K14:R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8"/>
  <sheetViews>
    <sheetView workbookViewId="0">
      <selection activeCell="F25" sqref="F25"/>
    </sheetView>
  </sheetViews>
  <sheetFormatPr defaultColWidth="8.88671875" defaultRowHeight="14.4" x14ac:dyDescent="0.3"/>
  <cols>
    <col min="1" max="11" width="8.88671875" style="1"/>
    <col min="12" max="12" width="9.88671875" style="1" customWidth="1"/>
    <col min="13" max="16384" width="8.88671875" style="1"/>
  </cols>
  <sheetData>
    <row r="1" spans="1:15" x14ac:dyDescent="0.3">
      <c r="A1" s="116" t="s">
        <v>56</v>
      </c>
      <c r="B1" s="116"/>
      <c r="C1" s="116"/>
      <c r="J1" s="117" t="s">
        <v>57</v>
      </c>
      <c r="K1" s="117"/>
      <c r="L1" s="117"/>
    </row>
    <row r="2" spans="1:15" x14ac:dyDescent="0.3">
      <c r="A2" s="46" t="s">
        <v>2</v>
      </c>
      <c r="B2" s="47" t="str">
        <f>'Prediktion VO2peak'!F6</f>
        <v>k</v>
      </c>
      <c r="D2" s="41" t="s">
        <v>11</v>
      </c>
      <c r="G2" s="115" t="s">
        <v>24</v>
      </c>
      <c r="H2" s="115"/>
      <c r="K2" s="41" t="s">
        <v>11</v>
      </c>
      <c r="N2" s="115" t="s">
        <v>24</v>
      </c>
      <c r="O2" s="115"/>
    </row>
    <row r="3" spans="1:15" x14ac:dyDescent="0.3">
      <c r="A3" s="46" t="s">
        <v>1</v>
      </c>
      <c r="B3" s="47">
        <f>IF('Prediktion VO2peak'!F5&gt;24,'Prediktion VO2peak'!F5,25)</f>
        <v>45</v>
      </c>
      <c r="F3" s="25" t="s">
        <v>15</v>
      </c>
      <c r="G3" s="42" t="s">
        <v>22</v>
      </c>
      <c r="H3" s="42" t="s">
        <v>23</v>
      </c>
      <c r="M3" s="49" t="s">
        <v>15</v>
      </c>
      <c r="N3" s="42" t="s">
        <v>58</v>
      </c>
      <c r="O3" s="42" t="s">
        <v>59</v>
      </c>
    </row>
    <row r="4" spans="1:15" x14ac:dyDescent="0.3">
      <c r="A4" s="46" t="s">
        <v>3</v>
      </c>
      <c r="B4" s="47">
        <f>'Prediktion VO2peak'!F7</f>
        <v>190</v>
      </c>
      <c r="E4" s="43" t="s">
        <v>21</v>
      </c>
      <c r="F4" s="26">
        <f>-588-(11.33*B3)+(9.13*B4)+(26.88*B5)-(0.12*(B5*B5))</f>
        <v>2054.6499999999996</v>
      </c>
      <c r="G4" s="26">
        <f>316-(9.24*B3)+(5.23*B4)+(8.72*B5)</f>
        <v>1635.1000000000001</v>
      </c>
      <c r="H4" s="26">
        <f>-386-(6.97*B3)+(9.06*B4)+(6.88*B5)</f>
        <v>1606.5500000000002</v>
      </c>
      <c r="L4" s="43" t="s">
        <v>21</v>
      </c>
      <c r="M4" s="26">
        <f>26.7+(0.046*B3)-(0.039*B4)+(0.03*B5)</f>
        <v>23.91</v>
      </c>
      <c r="N4" s="26">
        <f>38.7+(0.041*B3)-(0.077*B4)+(0.031*B5)</f>
        <v>28.550000000000004</v>
      </c>
      <c r="O4" s="26">
        <f>53.3+(0.041*B3)-(0.143*B4)-(0.002*B5)</f>
        <v>27.804999999999996</v>
      </c>
    </row>
    <row r="5" spans="1:15" x14ac:dyDescent="0.3">
      <c r="A5" s="46" t="s">
        <v>4</v>
      </c>
      <c r="B5" s="47">
        <f>'Prediktion VO2peak'!F8</f>
        <v>85</v>
      </c>
    </row>
    <row r="6" spans="1:15" x14ac:dyDescent="0.3">
      <c r="A6" s="27" t="s">
        <v>19</v>
      </c>
      <c r="B6" s="25" t="str">
        <f>'Prediktion VO2peak'!F4</f>
        <v>Nej</v>
      </c>
    </row>
    <row r="7" spans="1:15" x14ac:dyDescent="0.3">
      <c r="D7" s="41" t="s">
        <v>10</v>
      </c>
      <c r="G7" s="115" t="s">
        <v>24</v>
      </c>
      <c r="H7" s="115"/>
      <c r="K7" s="41" t="s">
        <v>10</v>
      </c>
      <c r="N7" s="115" t="s">
        <v>24</v>
      </c>
      <c r="O7" s="115"/>
    </row>
    <row r="8" spans="1:15" x14ac:dyDescent="0.3">
      <c r="A8" s="1" t="s">
        <v>5</v>
      </c>
      <c r="B8" s="1" t="s">
        <v>12</v>
      </c>
      <c r="E8" s="25" t="s">
        <v>20</v>
      </c>
      <c r="F8" s="25" t="s">
        <v>15</v>
      </c>
      <c r="G8" s="42" t="s">
        <v>22</v>
      </c>
      <c r="H8" s="42" t="s">
        <v>23</v>
      </c>
      <c r="L8" s="49" t="s">
        <v>20</v>
      </c>
      <c r="M8" s="49" t="s">
        <v>15</v>
      </c>
      <c r="N8" s="42" t="s">
        <v>58</v>
      </c>
      <c r="O8" s="42" t="s">
        <v>59</v>
      </c>
    </row>
    <row r="9" spans="1:15" x14ac:dyDescent="0.3">
      <c r="A9" s="1" t="s">
        <v>6</v>
      </c>
      <c r="B9" s="1" t="s">
        <v>13</v>
      </c>
      <c r="E9" s="43" t="s">
        <v>13</v>
      </c>
      <c r="F9" s="26">
        <f>-69+(1.48*B3)+14.02*B4+7.44*B5-(233.72*0)-(0.2256*(B3*B3))</f>
        <v>2836.9599999999996</v>
      </c>
      <c r="G9" s="26">
        <f>917-(17.84*B3)+(6.45*B4)+(9.02*B5)-(44.11*0)</f>
        <v>2106.4</v>
      </c>
      <c r="H9" s="26">
        <f>349-(18.87*B3)+(9.97*B4)+(7.42*B5)-(107.74*0)</f>
        <v>2024.8500000000001</v>
      </c>
      <c r="L9" s="43" t="s">
        <v>13</v>
      </c>
      <c r="M9" s="26">
        <f>20.9+(0.139*B3)-(0.043*B4)+(0.044*B5)+(1.45*0)</f>
        <v>22.724999999999998</v>
      </c>
      <c r="N9" s="26">
        <f>30.4+(0.159*B3)-(0.083*B4)+(0.064*B5)+(1.85*0)</f>
        <v>27.224999999999998</v>
      </c>
      <c r="O9" s="26">
        <f>30.2+(0.144*B3)-(0.059*B4)+(0.042*B5)+(1.81*0)</f>
        <v>29.04</v>
      </c>
    </row>
    <row r="10" spans="1:15" x14ac:dyDescent="0.3">
      <c r="E10" s="44" t="s">
        <v>12</v>
      </c>
      <c r="F10" s="26">
        <f>-69+(1.48*B3)+14.02*B4+7.44*B5-(233.72*1)-(0.2256*(B3*B3))</f>
        <v>2603.2399999999998</v>
      </c>
      <c r="G10" s="26">
        <f>917-(17.84*B3)+(6.45*B4)+(9.02*B5)-(44.11*1)</f>
        <v>2062.29</v>
      </c>
      <c r="H10" s="26">
        <f>349-(18.87*B3)+(9.97*B4)+(7.42*B5)-(107.74*1)</f>
        <v>1917.1100000000001</v>
      </c>
      <c r="L10" s="44" t="s">
        <v>12</v>
      </c>
      <c r="M10" s="26">
        <f>20.9+(0.139*B3)-(0.043*B4)+(0.044*B5)+(1.45*1)</f>
        <v>24.174999999999997</v>
      </c>
      <c r="N10" s="26">
        <f>30.4+(0.159*B3)-(0.083*B4)+(0.064*B5)+(1.85*1)</f>
        <v>29.074999999999999</v>
      </c>
      <c r="O10" s="26">
        <f>30.2+(0.144*B3)-(0.059*B4)+(0.042*B5)+(1.81*1)</f>
        <v>30.849999999999998</v>
      </c>
    </row>
    <row r="12" spans="1:15" x14ac:dyDescent="0.3">
      <c r="F12" s="115" t="s">
        <v>15</v>
      </c>
      <c r="G12" s="115"/>
      <c r="M12" s="115" t="s">
        <v>15</v>
      </c>
      <c r="N12" s="115"/>
    </row>
    <row r="13" spans="1:15" x14ac:dyDescent="0.3">
      <c r="F13" s="25" t="s">
        <v>5</v>
      </c>
      <c r="G13" s="25" t="s">
        <v>6</v>
      </c>
      <c r="M13" s="49" t="s">
        <v>5</v>
      </c>
      <c r="N13" s="49" t="s">
        <v>6</v>
      </c>
    </row>
    <row r="14" spans="1:15" x14ac:dyDescent="0.3">
      <c r="C14" s="48" t="s">
        <v>26</v>
      </c>
      <c r="D14" s="48"/>
      <c r="E14" s="43" t="s">
        <v>18</v>
      </c>
      <c r="F14" s="26">
        <f>F9</f>
        <v>2836.9599999999996</v>
      </c>
      <c r="G14" s="26">
        <f>F4</f>
        <v>2054.6499999999996</v>
      </c>
      <c r="J14" s="48" t="s">
        <v>26</v>
      </c>
      <c r="K14" s="48"/>
      <c r="L14" s="43" t="s">
        <v>18</v>
      </c>
      <c r="M14" s="26">
        <f>M9</f>
        <v>22.724999999999998</v>
      </c>
      <c r="N14" s="26">
        <f>M4</f>
        <v>23.91</v>
      </c>
    </row>
    <row r="15" spans="1:15" x14ac:dyDescent="0.3">
      <c r="C15" s="48"/>
      <c r="D15" s="48"/>
      <c r="E15" s="43" t="s">
        <v>25</v>
      </c>
      <c r="F15" s="26">
        <f>F10</f>
        <v>2603.2399999999998</v>
      </c>
      <c r="G15" s="26">
        <f>F4</f>
        <v>2054.6499999999996</v>
      </c>
      <c r="J15" s="48"/>
      <c r="K15" s="48"/>
      <c r="L15" s="43" t="s">
        <v>25</v>
      </c>
      <c r="M15" s="26">
        <f>M10</f>
        <v>24.174999999999997</v>
      </c>
      <c r="N15" s="26">
        <f>M4</f>
        <v>23.91</v>
      </c>
    </row>
    <row r="16" spans="1:15" x14ac:dyDescent="0.3">
      <c r="E16" s="29" t="s">
        <v>27</v>
      </c>
      <c r="F16" s="30">
        <f>INDEX(F14:G15,MATCH(B6,E14:E15,0),MATCH(B2,F13:G13,0))</f>
        <v>2054.6499999999996</v>
      </c>
      <c r="L16" s="29" t="s">
        <v>27</v>
      </c>
      <c r="M16" s="30">
        <f>INDEX(M14:N15,MATCH(B6,L14:L15,0),MATCH(B2,M13:N13,0))</f>
        <v>23.91</v>
      </c>
    </row>
    <row r="18" spans="3:14" x14ac:dyDescent="0.3">
      <c r="F18" s="115" t="s">
        <v>74</v>
      </c>
      <c r="G18" s="115"/>
      <c r="M18" s="115" t="s">
        <v>73</v>
      </c>
      <c r="N18" s="115"/>
    </row>
    <row r="19" spans="3:14" x14ac:dyDescent="0.3">
      <c r="F19" s="25" t="s">
        <v>5</v>
      </c>
      <c r="G19" s="25" t="s">
        <v>6</v>
      </c>
      <c r="M19" s="49" t="s">
        <v>5</v>
      </c>
      <c r="N19" s="49" t="s">
        <v>6</v>
      </c>
    </row>
    <row r="20" spans="3:14" x14ac:dyDescent="0.3">
      <c r="C20" s="28" t="s">
        <v>26</v>
      </c>
      <c r="D20" s="28"/>
      <c r="E20" s="25" t="s">
        <v>18</v>
      </c>
      <c r="F20" s="26">
        <f>G9</f>
        <v>2106.4</v>
      </c>
      <c r="G20" s="26">
        <f>G4</f>
        <v>1635.1000000000001</v>
      </c>
      <c r="J20" s="28" t="s">
        <v>26</v>
      </c>
      <c r="K20" s="28"/>
      <c r="L20" s="49" t="s">
        <v>18</v>
      </c>
      <c r="M20" s="26">
        <f>N9</f>
        <v>27.224999999999998</v>
      </c>
      <c r="N20" s="26">
        <f>N4</f>
        <v>28.550000000000004</v>
      </c>
    </row>
    <row r="21" spans="3:14" x14ac:dyDescent="0.3">
      <c r="C21" s="28"/>
      <c r="D21" s="28"/>
      <c r="E21" s="25" t="s">
        <v>25</v>
      </c>
      <c r="F21" s="26">
        <f>G10</f>
        <v>2062.29</v>
      </c>
      <c r="G21" s="26">
        <f>G4</f>
        <v>1635.1000000000001</v>
      </c>
      <c r="J21" s="28"/>
      <c r="K21" s="28"/>
      <c r="L21" s="49" t="s">
        <v>25</v>
      </c>
      <c r="M21" s="26">
        <f>N10</f>
        <v>29.074999999999999</v>
      </c>
      <c r="N21" s="26">
        <f>N4</f>
        <v>28.550000000000004</v>
      </c>
    </row>
    <row r="22" spans="3:14" x14ac:dyDescent="0.3">
      <c r="E22" s="29" t="s">
        <v>27</v>
      </c>
      <c r="F22" s="30">
        <f>INDEX(F20:G21,MATCH(B6,E20:E21,0),MATCH(B2,F19:G19,0))</f>
        <v>1635.1000000000001</v>
      </c>
      <c r="L22" s="29" t="s">
        <v>27</v>
      </c>
      <c r="M22" s="30">
        <f>INDEX(M20:N21,MATCH(B6,L20:L21,0),MATCH(B2,M19:N19,0))</f>
        <v>28.550000000000004</v>
      </c>
    </row>
    <row r="24" spans="3:14" x14ac:dyDescent="0.3">
      <c r="F24" s="115" t="s">
        <v>75</v>
      </c>
      <c r="G24" s="115"/>
      <c r="M24" s="115" t="s">
        <v>72</v>
      </c>
      <c r="N24" s="115"/>
    </row>
    <row r="25" spans="3:14" x14ac:dyDescent="0.3">
      <c r="F25" s="25" t="s">
        <v>5</v>
      </c>
      <c r="G25" s="25" t="s">
        <v>6</v>
      </c>
      <c r="M25" s="49" t="s">
        <v>5</v>
      </c>
      <c r="N25" s="49" t="s">
        <v>6</v>
      </c>
    </row>
    <row r="26" spans="3:14" x14ac:dyDescent="0.3">
      <c r="C26" s="28" t="s">
        <v>26</v>
      </c>
      <c r="D26" s="28"/>
      <c r="E26" s="25" t="s">
        <v>18</v>
      </c>
      <c r="F26" s="26">
        <f>H9</f>
        <v>2024.8500000000001</v>
      </c>
      <c r="G26" s="26">
        <f>H4</f>
        <v>1606.5500000000002</v>
      </c>
      <c r="J26" s="28" t="s">
        <v>26</v>
      </c>
      <c r="K26" s="28"/>
      <c r="L26" s="49" t="s">
        <v>18</v>
      </c>
      <c r="M26" s="26">
        <f>O9</f>
        <v>29.04</v>
      </c>
      <c r="N26" s="26">
        <f>O4</f>
        <v>27.804999999999996</v>
      </c>
    </row>
    <row r="27" spans="3:14" x14ac:dyDescent="0.3">
      <c r="C27" s="28"/>
      <c r="D27" s="28"/>
      <c r="E27" s="25" t="s">
        <v>25</v>
      </c>
      <c r="F27" s="26">
        <f>H10</f>
        <v>1917.1100000000001</v>
      </c>
      <c r="G27" s="26">
        <f>H4</f>
        <v>1606.5500000000002</v>
      </c>
      <c r="J27" s="28"/>
      <c r="K27" s="28"/>
      <c r="L27" s="49" t="s">
        <v>25</v>
      </c>
      <c r="M27" s="26">
        <f>O10</f>
        <v>30.849999999999998</v>
      </c>
      <c r="N27" s="26">
        <f>O4</f>
        <v>27.804999999999996</v>
      </c>
    </row>
    <row r="28" spans="3:14" x14ac:dyDescent="0.3">
      <c r="E28" s="29" t="s">
        <v>27</v>
      </c>
      <c r="F28" s="30">
        <f>INDEX(F26:G27,MATCH(B6,E26:E27,0),MATCH(B2,F25:G25,0))</f>
        <v>1606.5500000000002</v>
      </c>
      <c r="L28" s="29" t="s">
        <v>27</v>
      </c>
      <c r="M28" s="30">
        <f>INDEX(M26:N27,MATCH(B6,L26:L27,0),MATCH(B2,M25:N25,0))</f>
        <v>27.804999999999996</v>
      </c>
    </row>
  </sheetData>
  <sheetProtection algorithmName="SHA-512" hashValue="tPTeLSGjxWjsICFZqGt2wYIkR5QptfOHPqjptECQBqLIBp4Dx64hkDVCIORKSC1bdmaDfKj8/6FEy3auFvOn4A==" saltValue="2C18b0FTdzsN7GZLOxmbmA==" spinCount="100000" sheet="1" selectLockedCells="1" selectUnlockedCells="1"/>
  <mergeCells count="12">
    <mergeCell ref="M18:N18"/>
    <mergeCell ref="M24:N24"/>
    <mergeCell ref="A1:C1"/>
    <mergeCell ref="J1:L1"/>
    <mergeCell ref="N2:O2"/>
    <mergeCell ref="N7:O7"/>
    <mergeCell ref="M12:N12"/>
    <mergeCell ref="F24:G24"/>
    <mergeCell ref="G2:H2"/>
    <mergeCell ref="G7:H7"/>
    <mergeCell ref="F12:G12"/>
    <mergeCell ref="F18:G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Prediktion VO2peak</vt:lpstr>
      <vt:lpstr>Ekvationer</vt:lpstr>
      <vt:lpstr>Beräkningsmatriser</vt:lpstr>
      <vt:lpstr>Gender</vt:lpstr>
      <vt:lpstr>Smoking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2019-10-30T15:14:27Z</dcterms:modified>
</cp:coreProperties>
</file>